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seng\OneDrive\B.都更開發案\投資分析\"/>
    </mc:Choice>
  </mc:AlternateContent>
  <xr:revisionPtr revIDLastSave="0" documentId="13_ncr:1_{4180DB2C-E7FD-444C-B2DA-684DFA19F56E}" xr6:coauthVersionLast="47" xr6:coauthVersionMax="47" xr10:uidLastSave="{00000000-0000-0000-0000-000000000000}"/>
  <bookViews>
    <workbookView xWindow="-120" yWindow="-120" windowWidth="29040" windowHeight="15720" xr2:uid="{EBCBBA22-D909-4D5D-82CD-4464763005C0}"/>
  </bookViews>
  <sheets>
    <sheet name="基本數值" sheetId="2" r:id="rId1"/>
    <sheet name="土地產權" sheetId="3" r:id="rId2"/>
    <sheet name="坪效估算" sheetId="1" r:id="rId3"/>
  </sheets>
  <definedNames>
    <definedName name="_xlnm._FilterDatabase" localSheetId="2" hidden="1">坪效估算!$A$3:$E$47</definedName>
    <definedName name="A.土地面積_L">坪效估算!$B$6</definedName>
    <definedName name="A_案名">坪效估算!$A$3</definedName>
    <definedName name="AN_N01">坪效估算!$A$3</definedName>
    <definedName name="AN_N02">坪效估算!$B$6</definedName>
    <definedName name="AN_N03">坪效估算!$B$7</definedName>
    <definedName name="AN_N04">坪效估算!$E$7</definedName>
    <definedName name="AN_N05">坪效估算!$B$9</definedName>
    <definedName name="AN_N06">坪效估算!$B$10</definedName>
    <definedName name="AN_N07">坪效估算!$B$32</definedName>
    <definedName name="AN_N08">坪效估算!#REF!</definedName>
    <definedName name="B_土地面積">坪效估算!$B$6</definedName>
    <definedName name="_xlnm.Print_Area" localSheetId="1">土地產權!$A$1:$H$12</definedName>
    <definedName name="_xlnm.Print_Area" localSheetId="2">坪效估算!$A$1:$E$47</definedName>
    <definedName name="_xlnm.Print_Area" localSheetId="0">基本數值!$A$1:$D$20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0" i="3"/>
  <c r="B10" i="1"/>
  <c r="B6" i="2"/>
  <c r="C6" i="3"/>
  <c r="H6" i="3" s="1"/>
  <c r="C7" i="3"/>
  <c r="E7" i="3" s="1"/>
  <c r="C8" i="3"/>
  <c r="H8" i="3" s="1"/>
  <c r="C11" i="3"/>
  <c r="C10" i="3"/>
  <c r="G3" i="3"/>
  <c r="G6" i="3"/>
  <c r="G7" i="3"/>
  <c r="G8" i="3"/>
  <c r="G2" i="3"/>
  <c r="C5" i="3"/>
  <c r="C4" i="3"/>
  <c r="C3" i="3"/>
  <c r="C2" i="3"/>
  <c r="B2" i="2"/>
  <c r="A3" i="1" s="1"/>
  <c r="E32" i="1"/>
  <c r="B32" i="1"/>
  <c r="F12" i="3" l="1"/>
  <c r="H7" i="3"/>
  <c r="E6" i="3"/>
  <c r="E8" i="3"/>
  <c r="G5" i="3"/>
  <c r="G4" i="3"/>
  <c r="B9" i="3"/>
  <c r="B7" i="2" s="1"/>
  <c r="E4" i="3"/>
  <c r="H4" i="3"/>
  <c r="E2" i="3"/>
  <c r="H2" i="3"/>
  <c r="H3" i="3"/>
  <c r="E3" i="3"/>
  <c r="H5" i="3"/>
  <c r="E5" i="3"/>
  <c r="D10" i="1"/>
  <c r="B6" i="1" l="1"/>
  <c r="H24" i="1" s="1"/>
  <c r="B34" i="1"/>
  <c r="D6" i="1"/>
  <c r="D34" i="1" s="1"/>
  <c r="E9" i="3"/>
  <c r="C9" i="3"/>
  <c r="D9" i="3" s="1"/>
  <c r="B12" i="3"/>
  <c r="C12" i="3" s="1"/>
  <c r="G9" i="3"/>
  <c r="H9" i="3"/>
  <c r="C10" i="1" l="1"/>
  <c r="F9" i="3"/>
  <c r="B8" i="2" s="1"/>
  <c r="B7" i="1" s="1"/>
  <c r="B8" i="1" s="1"/>
  <c r="C9" i="1" s="1"/>
  <c r="B9" i="2"/>
  <c r="E7" i="1" s="1"/>
  <c r="G11" i="3"/>
  <c r="G10" i="3"/>
  <c r="H11" i="3"/>
  <c r="H10" i="3"/>
  <c r="B12" i="1" l="1"/>
  <c r="B15" i="1" s="1"/>
  <c r="B18" i="1" s="1"/>
  <c r="D46" i="1" s="1"/>
  <c r="C19" i="2" s="1"/>
  <c r="D8" i="1"/>
  <c r="D12" i="1" s="1"/>
  <c r="D15" i="1"/>
  <c r="D18" i="1" s="1"/>
  <c r="B11" i="1"/>
  <c r="B29" i="1" s="1"/>
  <c r="H25" i="1"/>
  <c r="D11" i="1"/>
  <c r="D29" i="1" s="1"/>
  <c r="G12" i="3"/>
  <c r="H12" i="3"/>
  <c r="B37" i="1" l="1"/>
  <c r="D37" i="1" s="1"/>
  <c r="D21" i="1"/>
  <c r="D24" i="1" s="1"/>
  <c r="B46" i="1"/>
  <c r="B19" i="2" s="1"/>
  <c r="B21" i="1"/>
  <c r="B24" i="1" l="1"/>
  <c r="B26" i="1"/>
  <c r="D26" i="1" l="1"/>
  <c r="B38" i="1"/>
  <c r="B44" i="1" l="1"/>
  <c r="B43" i="1"/>
  <c r="E45" i="1" s="1"/>
  <c r="D18" i="2" s="1"/>
  <c r="D38" i="1"/>
  <c r="B39" i="1"/>
  <c r="D43" i="1" l="1"/>
  <c r="B16" i="2"/>
  <c r="C16" i="2" s="1"/>
  <c r="D44" i="1"/>
  <c r="B17" i="2"/>
  <c r="C17" i="2" s="1"/>
  <c r="B45" i="1"/>
  <c r="D39" i="1"/>
  <c r="B40" i="1"/>
  <c r="D14" i="2" l="1"/>
  <c r="B18" i="2"/>
  <c r="D40" i="1"/>
  <c r="B41" i="1"/>
  <c r="D41" i="1" s="1"/>
  <c r="A48" i="1" s="1"/>
  <c r="E4" i="1" l="1"/>
</calcChain>
</file>

<file path=xl/sharedStrings.xml><?xml version="1.0" encoding="utf-8"?>
<sst xmlns="http://schemas.openxmlformats.org/spreadsheetml/2006/main" count="133" uniqueCount="75">
  <si>
    <t>平方公尺</t>
    <phoneticPr fontId="2" type="noConversion"/>
  </si>
  <si>
    <t>坪</t>
    <phoneticPr fontId="2" type="noConversion"/>
  </si>
  <si>
    <t>基準容積</t>
    <phoneticPr fontId="2" type="noConversion"/>
  </si>
  <si>
    <t>坪效係數</t>
    <phoneticPr fontId="2" type="noConversion"/>
  </si>
  <si>
    <t>機房及安全梯面積</t>
    <phoneticPr fontId="2" type="noConversion"/>
  </si>
  <si>
    <t>梯廳面積</t>
    <phoneticPr fontId="2" type="noConversion"/>
  </si>
  <si>
    <t>陽台面積</t>
    <phoneticPr fontId="2" type="noConversion"/>
  </si>
  <si>
    <t>專有面積</t>
    <phoneticPr fontId="2" type="noConversion"/>
  </si>
  <si>
    <t>機房及安全梯面積 = 基準容積*15%</t>
  </si>
  <si>
    <t> (基準容積+機房及安全梯面積)*5%</t>
  </si>
  <si>
    <t> (基準容積+機房及安全梯面積 + 梯廳面積)*10%</t>
  </si>
  <si>
    <t>公有面積</t>
    <phoneticPr fontId="2" type="noConversion"/>
  </si>
  <si>
    <t>銷售面積</t>
    <phoneticPr fontId="2" type="noConversion"/>
  </si>
  <si>
    <t>銷售面積/基準容積</t>
    <phoneticPr fontId="2" type="noConversion"/>
  </si>
  <si>
    <t>陽台比例</t>
    <phoneticPr fontId="2" type="noConversion"/>
  </si>
  <si>
    <t>梯廳比例</t>
    <phoneticPr fontId="2" type="noConversion"/>
  </si>
  <si>
    <t>機房及安全梯比例</t>
    <phoneticPr fontId="2" type="noConversion"/>
  </si>
  <si>
    <t>土地面積(L)</t>
    <phoneticPr fontId="2" type="noConversion"/>
  </si>
  <si>
    <t>容積率(r1)</t>
    <phoneticPr fontId="2" type="noConversion"/>
  </si>
  <si>
    <t>容積獎勵率(r2)</t>
    <phoneticPr fontId="2" type="noConversion"/>
  </si>
  <si>
    <t>基準容積(A)</t>
    <phoneticPr fontId="2" type="noConversion"/>
  </si>
  <si>
    <t>小公面積</t>
    <phoneticPr fontId="2" type="noConversion"/>
  </si>
  <si>
    <t>建蔽率</t>
    <phoneticPr fontId="2" type="noConversion"/>
  </si>
  <si>
    <t>允建面積</t>
    <phoneticPr fontId="2" type="noConversion"/>
  </si>
  <si>
    <t>層</t>
    <phoneticPr fontId="2" type="noConversion"/>
  </si>
  <si>
    <t>屋凸面積</t>
    <phoneticPr fontId="2" type="noConversion"/>
  </si>
  <si>
    <t>地下室層數</t>
    <phoneticPr fontId="2" type="noConversion"/>
  </si>
  <si>
    <t>開挖率</t>
    <phoneticPr fontId="2" type="noConversion"/>
  </si>
  <si>
    <t>地下室面積</t>
    <phoneticPr fontId="2" type="noConversion"/>
  </si>
  <si>
    <t>大公面積</t>
    <phoneticPr fontId="2" type="noConversion"/>
  </si>
  <si>
    <t>地下室車位面積</t>
    <phoneticPr fontId="2" type="noConversion"/>
  </si>
  <si>
    <t>重建坪效試算</t>
    <phoneticPr fontId="2" type="noConversion"/>
  </si>
  <si>
    <t>基地面積 x 開挖率 x 層數</t>
    <phoneticPr fontId="2" type="noConversion"/>
  </si>
  <si>
    <t>以預計規劃公設比來推算建築整體坪效</t>
    <phoneticPr fontId="2" type="noConversion"/>
  </si>
  <si>
    <t>屋凸層數</t>
    <phoneticPr fontId="2" type="noConversion"/>
  </si>
  <si>
    <t>基層建築面積八分之一</t>
    <phoneticPr fontId="2" type="noConversion"/>
  </si>
  <si>
    <t>其他獎勵率(r3)</t>
    <phoneticPr fontId="2" type="noConversion"/>
  </si>
  <si>
    <t>都更重建資訊平台 www.ur-promoter.com，坪效試算僅供參考使用。</t>
    <phoneticPr fontId="2" type="noConversion"/>
  </si>
  <si>
    <t>基準容積(主建物) + 陽台面積</t>
    <phoneticPr fontId="2" type="noConversion"/>
  </si>
  <si>
    <t>簡易初步評估試算，提供參考</t>
    <phoneticPr fontId="2" type="noConversion"/>
  </si>
  <si>
    <t>位</t>
    <phoneticPr fontId="2" type="noConversion"/>
  </si>
  <si>
    <t>法定汽車/機車</t>
    <phoneticPr fontId="2" type="noConversion"/>
  </si>
  <si>
    <t>車位平均面積</t>
    <phoneticPr fontId="2" type="noConversion"/>
  </si>
  <si>
    <t>一般情況下，都更開挖率為建蔽率加10％。但由於各案情況不同，實際開挖率需根據相關機關認定，無法設定特定縣市的開挖率準則。</t>
    <phoneticPr fontId="2" type="noConversion"/>
  </si>
  <si>
    <t>案名</t>
    <phoneticPr fontId="2" type="noConversion"/>
  </si>
  <si>
    <t>海砂、危老、容移以及TOD等</t>
    <phoneticPr fontId="2" type="noConversion"/>
  </si>
  <si>
    <t>基本資料輸入</t>
    <phoneticPr fontId="2" type="noConversion"/>
  </si>
  <si>
    <t>土地分區</t>
    <phoneticPr fontId="2" type="noConversion"/>
  </si>
  <si>
    <t>段/小段</t>
    <phoneticPr fontId="2" type="noConversion"/>
  </si>
  <si>
    <t>縣市區域</t>
    <phoneticPr fontId="2" type="noConversion"/>
  </si>
  <si>
    <t>新北市土城區</t>
    <phoneticPr fontId="2" type="noConversion"/>
  </si>
  <si>
    <t>代表地號</t>
    <phoneticPr fontId="2" type="noConversion"/>
  </si>
  <si>
    <t>/共</t>
    <phoneticPr fontId="2" type="noConversion"/>
  </si>
  <si>
    <t>建蔽率</t>
    <phoneticPr fontId="23" type="noConversion"/>
  </si>
  <si>
    <t>允建面積</t>
  </si>
  <si>
    <t>容積率</t>
    <phoneticPr fontId="23" type="noConversion"/>
  </si>
  <si>
    <t>小計</t>
    <phoneticPr fontId="24" type="noConversion"/>
  </si>
  <si>
    <t>保留地</t>
    <phoneticPr fontId="24" type="noConversion"/>
  </si>
  <si>
    <t>道路地</t>
    <phoneticPr fontId="24" type="noConversion"/>
  </si>
  <si>
    <t>都市更新</t>
    <phoneticPr fontId="23" type="noConversion"/>
  </si>
  <si>
    <t>合計</t>
    <phoneticPr fontId="23" type="noConversion"/>
  </si>
  <si>
    <t>基準容積(坪)</t>
    <phoneticPr fontId="24" type="noConversion"/>
  </si>
  <si>
    <r>
      <t>基地(M</t>
    </r>
    <r>
      <rPr>
        <b/>
        <vertAlign val="superscript"/>
        <sz val="14"/>
        <rFont val="微軟正黑體"/>
        <family val="2"/>
        <charset val="136"/>
      </rPr>
      <t>2</t>
    </r>
    <r>
      <rPr>
        <b/>
        <sz val="14"/>
        <rFont val="微軟正黑體"/>
        <family val="2"/>
        <charset val="136"/>
      </rPr>
      <t>)</t>
    </r>
    <phoneticPr fontId="23" type="noConversion"/>
  </si>
  <si>
    <r>
      <t>基地(</t>
    </r>
    <r>
      <rPr>
        <b/>
        <sz val="14"/>
        <color theme="1"/>
        <rFont val="微軟正黑體"/>
        <family val="2"/>
        <charset val="136"/>
      </rPr>
      <t>坪</t>
    </r>
    <r>
      <rPr>
        <b/>
        <sz val="14"/>
        <rFont val="微軟正黑體"/>
        <family val="2"/>
        <charset val="136"/>
      </rPr>
      <t>)</t>
    </r>
    <phoneticPr fontId="23" type="noConversion"/>
  </si>
  <si>
    <r>
      <t>基準容積(M</t>
    </r>
    <r>
      <rPr>
        <b/>
        <vertAlign val="superscript"/>
        <sz val="14"/>
        <color theme="1"/>
        <rFont val="微軟正黑體"/>
        <family val="2"/>
        <charset val="136"/>
      </rPr>
      <t>2</t>
    </r>
    <r>
      <rPr>
        <b/>
        <sz val="14"/>
        <color theme="1"/>
        <rFont val="微軟正黑體"/>
        <family val="2"/>
        <charset val="136"/>
      </rPr>
      <t>)</t>
    </r>
    <phoneticPr fontId="24" type="noConversion"/>
  </si>
  <si>
    <t>其他獎勵</t>
    <phoneticPr fontId="2" type="noConversion"/>
  </si>
  <si>
    <t>詳見土地產權工作表</t>
    <phoneticPr fontId="2" type="noConversion"/>
  </si>
  <si>
    <t>區分</t>
    <phoneticPr fontId="23" type="noConversion"/>
  </si>
  <si>
    <t>大樓室內</t>
    <phoneticPr fontId="2" type="noConversion"/>
  </si>
  <si>
    <t>地下室公設面積</t>
    <phoneticPr fontId="2" type="noConversion"/>
  </si>
  <si>
    <t>公設比</t>
    <phoneticPr fontId="2" type="noConversion"/>
  </si>
  <si>
    <t>第一種住宅區</t>
    <phoneticPr fontId="2" type="noConversion"/>
  </si>
  <si>
    <t>建築坪效</t>
    <phoneticPr fontId="2" type="noConversion"/>
  </si>
  <si>
    <t>規劃公設比(大公)</t>
    <phoneticPr fontId="2" type="noConversion"/>
  </si>
  <si>
    <t>xxx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</si>
</sst>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76" formatCode="0.00\ &quot;平方公尺&quot;"/>
    <numFmt numFmtId="177" formatCode="_-* #,##0_-;\-* #,##0_-;_-* &quot;-&quot;??_-;_-@_-"/>
    <numFmt numFmtId="178" formatCode="0.0%"/>
    <numFmt numFmtId="179" formatCode="0\ &quot;筆&quot;"/>
    <numFmt numFmtId="180" formatCode="#,##0.00&quot;坪&quot;"/>
    <numFmt numFmtId="181" formatCode="0.00\ &quot;坪&quot;"/>
    <numFmt numFmtId="182" formatCode="0\ &quot;位&quot;"/>
  </numFmts>
  <fonts count="3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theme="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36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6"/>
      <color theme="4" tint="-0.499984740745262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26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Courier"/>
      <family val="3"/>
    </font>
    <font>
      <sz val="12"/>
      <color indexed="8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vertAlign val="superscript"/>
      <sz val="14"/>
      <name val="微軟正黑體"/>
      <family val="2"/>
      <charset val="136"/>
    </font>
    <font>
      <b/>
      <vertAlign val="superscript"/>
      <sz val="14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2"/>
      <color rgb="FFC0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499984740745262"/>
      </left>
      <right style="thin">
        <color theme="9" tint="0.39997558519241921"/>
      </right>
      <top style="medium">
        <color theme="9" tint="-0.499984740745262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-0.499984740745262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-0.499984740745262"/>
      </right>
      <top style="medium">
        <color theme="9" tint="-0.499984740745262"/>
      </top>
      <bottom style="thin">
        <color theme="9" tint="0.39997558519241921"/>
      </bottom>
      <diagonal/>
    </border>
    <border>
      <left style="medium">
        <color theme="9" tint="-0.499984740745262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medium">
        <color theme="9" tint="-0.499984740745262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499984740745262"/>
      </left>
      <right style="thin">
        <color theme="9" tint="0.39997558519241921"/>
      </right>
      <top style="thin">
        <color theme="9" tint="0.39997558519241921"/>
      </top>
      <bottom style="medium">
        <color theme="9" tint="-0.499984740745262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-0.499984740745262"/>
      </bottom>
      <diagonal/>
    </border>
    <border>
      <left style="thin">
        <color theme="9" tint="0.39997558519241921"/>
      </left>
      <right style="medium">
        <color theme="9" tint="-0.499984740745262"/>
      </right>
      <top style="thin">
        <color theme="9" tint="0.39997558519241921"/>
      </top>
      <bottom style="medium">
        <color theme="9" tint="-0.499984740745262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medium">
        <color theme="9" tint="-0.499984740745262"/>
      </top>
      <bottom style="thin">
        <color theme="9" tint="0.39997558519241921"/>
      </bottom>
      <diagonal/>
    </border>
    <border>
      <left style="medium">
        <color theme="9" tint="-0.49998474074526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theme="9" tint="-0.499984740745262"/>
      </left>
      <right/>
      <top style="thin">
        <color theme="9" tint="0.39997558519241921"/>
      </top>
      <bottom style="medium">
        <color theme="9" tint="-0.499984740745262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medium">
        <color theme="9" tint="-0.499984740745262"/>
      </bottom>
      <diagonal/>
    </border>
    <border>
      <left style="thin">
        <color theme="9" tint="0.59999389629810485"/>
      </left>
      <right/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3" tint="0.749992370372631"/>
      </left>
      <right style="thin">
        <color theme="3" tint="0.749992370372631"/>
      </right>
      <top style="thin">
        <color theme="3" tint="0.749992370372631"/>
      </top>
      <bottom style="thin">
        <color theme="3" tint="0.74999237037263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176" fontId="10" fillId="2" borderId="1" xfId="2" applyNumberFormat="1" applyFont="1" applyFill="1" applyBorder="1" applyAlignment="1" applyProtection="1">
      <alignment vertical="center"/>
    </xf>
    <xf numFmtId="43" fontId="4" fillId="0" borderId="1" xfId="1" applyFont="1" applyFill="1" applyBorder="1" applyProtection="1">
      <alignment vertical="center"/>
    </xf>
    <xf numFmtId="9" fontId="6" fillId="0" borderId="0" xfId="2" applyFont="1" applyFill="1" applyProtection="1">
      <alignment vertical="center"/>
    </xf>
    <xf numFmtId="9" fontId="4" fillId="2" borderId="1" xfId="2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2" fontId="4" fillId="0" borderId="1" xfId="0" applyNumberFormat="1" applyFont="1" applyBorder="1">
      <alignment vertical="center"/>
    </xf>
    <xf numFmtId="2" fontId="6" fillId="0" borderId="0" xfId="0" applyNumberFormat="1" applyFont="1">
      <alignment vertical="center"/>
    </xf>
    <xf numFmtId="0" fontId="10" fillId="0" borderId="1" xfId="0" applyFont="1" applyBorder="1">
      <alignment vertical="center"/>
    </xf>
    <xf numFmtId="43" fontId="4" fillId="0" borderId="0" xfId="0" applyNumberFormat="1" applyFont="1">
      <alignment vertical="center"/>
    </xf>
    <xf numFmtId="0" fontId="9" fillId="2" borderId="1" xfId="0" applyFont="1" applyFill="1" applyBorder="1">
      <alignment vertical="center"/>
    </xf>
    <xf numFmtId="10" fontId="4" fillId="2" borderId="1" xfId="2" applyNumberFormat="1" applyFont="1" applyFill="1" applyBorder="1" applyAlignment="1" applyProtection="1">
      <alignment horizontal="center" vertical="center"/>
    </xf>
    <xf numFmtId="9" fontId="4" fillId="2" borderId="2" xfId="2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43" fontId="25" fillId="0" borderId="4" xfId="0" applyNumberFormat="1" applyFont="1" applyBorder="1">
      <alignment vertical="center"/>
    </xf>
    <xf numFmtId="180" fontId="25" fillId="3" borderId="4" xfId="0" applyNumberFormat="1" applyFont="1" applyFill="1" applyBorder="1">
      <alignment vertical="center"/>
    </xf>
    <xf numFmtId="180" fontId="20" fillId="3" borderId="4" xfId="0" applyNumberFormat="1" applyFont="1" applyFill="1" applyBorder="1">
      <alignment vertical="center"/>
    </xf>
    <xf numFmtId="2" fontId="25" fillId="3" borderId="4" xfId="0" applyNumberFormat="1" applyFont="1" applyFill="1" applyBorder="1">
      <alignment vertical="center"/>
    </xf>
    <xf numFmtId="43" fontId="25" fillId="0" borderId="4" xfId="0" applyNumberFormat="1" applyFont="1" applyBorder="1" applyProtection="1">
      <alignment vertical="center"/>
      <protection locked="0"/>
    </xf>
    <xf numFmtId="43" fontId="25" fillId="4" borderId="4" xfId="0" applyNumberFormat="1" applyFont="1" applyFill="1" applyBorder="1" applyProtection="1">
      <alignment vertical="center"/>
      <protection locked="0"/>
    </xf>
    <xf numFmtId="9" fontId="25" fillId="0" borderId="4" xfId="0" applyNumberFormat="1" applyFont="1" applyBorder="1" applyProtection="1">
      <alignment vertical="center"/>
      <protection locked="0"/>
    </xf>
    <xf numFmtId="10" fontId="5" fillId="3" borderId="11" xfId="0" applyNumberFormat="1" applyFont="1" applyFill="1" applyBorder="1">
      <alignment vertical="center"/>
    </xf>
    <xf numFmtId="0" fontId="5" fillId="3" borderId="11" xfId="0" applyFont="1" applyFill="1" applyBorder="1">
      <alignment vertical="center"/>
    </xf>
    <xf numFmtId="180" fontId="5" fillId="3" borderId="12" xfId="0" applyNumberFormat="1" applyFont="1" applyFill="1" applyBorder="1">
      <alignment vertical="center"/>
    </xf>
    <xf numFmtId="0" fontId="20" fillId="0" borderId="5" xfId="0" applyFont="1" applyBorder="1" applyAlignment="1">
      <alignment horizontal="center" vertical="center"/>
    </xf>
    <xf numFmtId="43" fontId="25" fillId="0" borderId="6" xfId="0" applyNumberFormat="1" applyFont="1" applyBorder="1">
      <alignment vertical="center"/>
    </xf>
    <xf numFmtId="180" fontId="25" fillId="3" borderId="7" xfId="0" applyNumberFormat="1" applyFont="1" applyFill="1" applyBorder="1">
      <alignment vertical="center"/>
    </xf>
    <xf numFmtId="0" fontId="20" fillId="0" borderId="8" xfId="0" applyFont="1" applyBorder="1" applyAlignment="1">
      <alignment horizontal="center" vertical="center"/>
    </xf>
    <xf numFmtId="180" fontId="25" fillId="3" borderId="9" xfId="0" applyNumberFormat="1" applyFont="1" applyFill="1" applyBorder="1">
      <alignment vertical="center"/>
    </xf>
    <xf numFmtId="0" fontId="27" fillId="3" borderId="10" xfId="0" applyFont="1" applyFill="1" applyBorder="1" applyAlignment="1">
      <alignment horizontal="center" vertical="center"/>
    </xf>
    <xf numFmtId="43" fontId="26" fillId="3" borderId="11" xfId="0" applyNumberFormat="1" applyFont="1" applyFill="1" applyBorder="1">
      <alignment vertical="center"/>
    </xf>
    <xf numFmtId="180" fontId="26" fillId="3" borderId="12" xfId="0" applyNumberFormat="1" applyFont="1" applyFill="1" applyBorder="1">
      <alignment vertical="center"/>
    </xf>
    <xf numFmtId="0" fontId="27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/>
      <protection locked="0"/>
    </xf>
    <xf numFmtId="180" fontId="20" fillId="3" borderId="9" xfId="0" applyNumberFormat="1" applyFont="1" applyFill="1" applyBorder="1">
      <alignment vertical="center"/>
    </xf>
    <xf numFmtId="180" fontId="26" fillId="3" borderId="11" xfId="0" applyNumberFormat="1" applyFont="1" applyFill="1" applyBorder="1">
      <alignment vertical="center"/>
    </xf>
    <xf numFmtId="10" fontId="26" fillId="3" borderId="11" xfId="0" applyNumberFormat="1" applyFont="1" applyFill="1" applyBorder="1">
      <alignment vertical="center"/>
    </xf>
    <xf numFmtId="180" fontId="27" fillId="3" borderId="11" xfId="0" applyNumberFormat="1" applyFont="1" applyFill="1" applyBorder="1">
      <alignment vertical="center"/>
    </xf>
    <xf numFmtId="9" fontId="26" fillId="3" borderId="11" xfId="0" applyNumberFormat="1" applyFont="1" applyFill="1" applyBorder="1">
      <alignment vertical="center"/>
    </xf>
    <xf numFmtId="2" fontId="26" fillId="3" borderId="11" xfId="0" applyNumberFormat="1" applyFont="1" applyFill="1" applyBorder="1">
      <alignment vertical="center"/>
    </xf>
    <xf numFmtId="180" fontId="27" fillId="3" borderId="12" xfId="0" applyNumberFormat="1" applyFont="1" applyFill="1" applyBorder="1">
      <alignment vertical="center"/>
    </xf>
    <xf numFmtId="0" fontId="17" fillId="3" borderId="13" xfId="0" applyFont="1" applyFill="1" applyBorder="1" applyAlignment="1">
      <alignment horizontal="righ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/>
      <protection locked="0"/>
    </xf>
    <xf numFmtId="9" fontId="30" fillId="0" borderId="13" xfId="2" applyFont="1" applyFill="1" applyBorder="1" applyAlignment="1" applyProtection="1">
      <alignment horizontal="left" vertical="center"/>
    </xf>
    <xf numFmtId="0" fontId="21" fillId="0" borderId="13" xfId="0" applyFont="1" applyBorder="1" applyAlignment="1">
      <alignment horizontal="left" vertical="center"/>
    </xf>
    <xf numFmtId="178" fontId="4" fillId="3" borderId="13" xfId="2" applyNumberFormat="1" applyFont="1" applyFill="1" applyBorder="1" applyAlignment="1" applyProtection="1">
      <alignment horizontal="center" vertical="center"/>
    </xf>
    <xf numFmtId="0" fontId="7" fillId="0" borderId="13" xfId="0" applyFont="1" applyBorder="1">
      <alignment vertical="center"/>
    </xf>
    <xf numFmtId="0" fontId="18" fillId="0" borderId="13" xfId="0" applyFont="1" applyBorder="1">
      <alignment vertical="center"/>
    </xf>
    <xf numFmtId="178" fontId="4" fillId="0" borderId="13" xfId="2" applyNumberFormat="1" applyFont="1" applyFill="1" applyBorder="1" applyAlignment="1" applyProtection="1">
      <alignment horizontal="center" vertical="center"/>
      <protection locked="0"/>
    </xf>
    <xf numFmtId="10" fontId="9" fillId="3" borderId="6" xfId="0" applyNumberFormat="1" applyFont="1" applyFill="1" applyBorder="1">
      <alignment vertical="center"/>
    </xf>
    <xf numFmtId="2" fontId="9" fillId="3" borderId="6" xfId="0" applyNumberFormat="1" applyFont="1" applyFill="1" applyBorder="1">
      <alignment vertical="center"/>
    </xf>
    <xf numFmtId="180" fontId="20" fillId="3" borderId="7" xfId="0" applyNumberFormat="1" applyFont="1" applyFill="1" applyBorder="1">
      <alignment vertical="center"/>
    </xf>
    <xf numFmtId="10" fontId="9" fillId="3" borderId="4" xfId="0" applyNumberFormat="1" applyFont="1" applyFill="1" applyBorder="1">
      <alignment vertical="center"/>
    </xf>
    <xf numFmtId="2" fontId="9" fillId="3" borderId="4" xfId="0" applyNumberFormat="1" applyFont="1" applyFill="1" applyBorder="1">
      <alignment vertical="center"/>
    </xf>
    <xf numFmtId="0" fontId="11" fillId="3" borderId="0" xfId="0" applyFont="1" applyFill="1" applyAlignment="1">
      <alignment horizontal="right" vertical="center"/>
    </xf>
    <xf numFmtId="43" fontId="4" fillId="0" borderId="0" xfId="1" applyFont="1" applyFill="1" applyBorder="1" applyProtection="1">
      <alignment vertical="center"/>
    </xf>
    <xf numFmtId="0" fontId="9" fillId="0" borderId="0" xfId="0" applyFont="1">
      <alignment vertical="center"/>
    </xf>
    <xf numFmtId="2" fontId="4" fillId="0" borderId="0" xfId="0" applyNumberFormat="1" applyFont="1">
      <alignment vertical="center"/>
    </xf>
    <xf numFmtId="0" fontId="10" fillId="0" borderId="0" xfId="0" applyFont="1">
      <alignment vertical="center"/>
    </xf>
    <xf numFmtId="0" fontId="31" fillId="0" borderId="0" xfId="0" applyFont="1">
      <alignment vertical="center"/>
    </xf>
    <xf numFmtId="176" fontId="4" fillId="3" borderId="13" xfId="1" applyNumberFormat="1" applyFont="1" applyFill="1" applyBorder="1" applyAlignment="1" applyProtection="1">
      <alignment horizontal="center" vertical="center"/>
    </xf>
    <xf numFmtId="176" fontId="4" fillId="5" borderId="22" xfId="1" applyNumberFormat="1" applyFont="1" applyFill="1" applyBorder="1" applyAlignment="1" applyProtection="1">
      <alignment horizontal="center" vertical="center"/>
    </xf>
    <xf numFmtId="10" fontId="4" fillId="5" borderId="22" xfId="2" applyNumberFormat="1" applyFont="1" applyFill="1" applyBorder="1" applyAlignment="1">
      <alignment horizontal="center" vertical="center"/>
    </xf>
    <xf numFmtId="182" fontId="4" fillId="5" borderId="22" xfId="1" applyNumberFormat="1" applyFont="1" applyFill="1" applyBorder="1" applyAlignment="1" applyProtection="1">
      <alignment horizontal="center" vertical="center"/>
    </xf>
    <xf numFmtId="0" fontId="11" fillId="3" borderId="23" xfId="0" applyFont="1" applyFill="1" applyBorder="1" applyAlignment="1">
      <alignment horizontal="right" vertical="center"/>
    </xf>
    <xf numFmtId="43" fontId="4" fillId="0" borderId="23" xfId="1" applyFont="1" applyFill="1" applyBorder="1" applyProtection="1">
      <alignment vertical="center"/>
    </xf>
    <xf numFmtId="0" fontId="10" fillId="0" borderId="23" xfId="0" applyFont="1" applyBorder="1">
      <alignment vertical="center"/>
    </xf>
    <xf numFmtId="177" fontId="4" fillId="0" borderId="23" xfId="1" applyNumberFormat="1" applyFont="1" applyFill="1" applyBorder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right" vertical="center"/>
    </xf>
    <xf numFmtId="2" fontId="9" fillId="5" borderId="22" xfId="0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82" fontId="4" fillId="5" borderId="22" xfId="1" applyNumberFormat="1" applyFont="1" applyFill="1" applyBorder="1" applyAlignment="1" applyProtection="1">
      <alignment horizontal="center" vertical="center"/>
    </xf>
    <xf numFmtId="181" fontId="4" fillId="5" borderId="22" xfId="1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43" fontId="4" fillId="3" borderId="13" xfId="1" applyFont="1" applyFill="1" applyBorder="1" applyAlignment="1" applyProtection="1">
      <alignment horizontal="center" vertical="center"/>
    </xf>
    <xf numFmtId="9" fontId="5" fillId="3" borderId="14" xfId="0" applyNumberFormat="1" applyFont="1" applyFill="1" applyBorder="1" applyAlignment="1">
      <alignment horizontal="center" vertical="center"/>
    </xf>
    <xf numFmtId="9" fontId="5" fillId="3" borderId="15" xfId="0" applyNumberFormat="1" applyFont="1" applyFill="1" applyBorder="1" applyAlignment="1">
      <alignment horizontal="center" vertical="center"/>
    </xf>
    <xf numFmtId="9" fontId="5" fillId="3" borderId="16" xfId="0" applyNumberFormat="1" applyFont="1" applyFill="1" applyBorder="1" applyAlignment="1">
      <alignment horizontal="center" vertical="center"/>
    </xf>
    <xf numFmtId="9" fontId="5" fillId="3" borderId="17" xfId="0" applyNumberFormat="1" applyFont="1" applyFill="1" applyBorder="1" applyAlignment="1">
      <alignment horizontal="center" vertical="center"/>
    </xf>
    <xf numFmtId="43" fontId="5" fillId="3" borderId="18" xfId="0" applyNumberFormat="1" applyFont="1" applyFill="1" applyBorder="1" applyAlignment="1">
      <alignment horizontal="center" vertical="center"/>
    </xf>
    <xf numFmtId="43" fontId="5" fillId="3" borderId="19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4" fillId="0" borderId="23" xfId="2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9" fontId="4" fillId="2" borderId="1" xfId="2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一般" xfId="0" builtinId="0"/>
    <cellStyle name="千分位" xfId="1" builtinId="3"/>
    <cellStyle name="百分比" xfId="2" builtinId="5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r-promoter.com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ur-promoter.com/" TargetMode="External"/><Relationship Id="rId1" Type="http://schemas.openxmlformats.org/officeDocument/2006/relationships/hyperlink" Target="http://www.ur-promoter.com/" TargetMode="External"/><Relationship Id="rId6" Type="http://schemas.openxmlformats.org/officeDocument/2006/relationships/hyperlink" Target="http://www.ur-promoter.com/" TargetMode="External"/><Relationship Id="rId5" Type="http://schemas.openxmlformats.org/officeDocument/2006/relationships/hyperlink" Target="http://www.ur-promoter.com/" TargetMode="External"/><Relationship Id="rId4" Type="http://schemas.openxmlformats.org/officeDocument/2006/relationships/hyperlink" Target="http://www.ur-promo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9746-A4C8-4F2A-805C-33D9E19C776E}">
  <sheetPr>
    <pageSetUpPr fitToPage="1"/>
  </sheetPr>
  <dimension ref="A1:F19"/>
  <sheetViews>
    <sheetView tabSelected="1" workbookViewId="0">
      <selection activeCell="B3" sqref="B3"/>
    </sheetView>
  </sheetViews>
  <sheetFormatPr defaultColWidth="8.875" defaultRowHeight="21" x14ac:dyDescent="0.25"/>
  <cols>
    <col min="1" max="1" width="24.75" style="20" customWidth="1"/>
    <col min="2" max="2" width="40.625" style="18" customWidth="1"/>
    <col min="3" max="3" width="20.625" style="21" customWidth="1"/>
    <col min="4" max="4" width="20.625" style="18" customWidth="1"/>
    <col min="5" max="5" width="24.75" style="18" customWidth="1"/>
    <col min="6" max="16384" width="8.875" style="18"/>
  </cols>
  <sheetData>
    <row r="1" spans="1:6" ht="60" customHeight="1" x14ac:dyDescent="0.25">
      <c r="A1" s="94" t="s">
        <v>46</v>
      </c>
      <c r="B1" s="94"/>
      <c r="C1" s="94"/>
      <c r="D1" s="94"/>
    </row>
    <row r="2" spans="1:6" ht="30" customHeight="1" x14ac:dyDescent="0.25">
      <c r="A2" s="55" t="s">
        <v>44</v>
      </c>
      <c r="B2" s="93" t="str">
        <f>B3&amp;B4&amp;B5&amp;"地號等"&amp;D5&amp;"筆土地"</f>
        <v>新北市土城區xxx354地號等4筆土地</v>
      </c>
      <c r="C2" s="93"/>
      <c r="D2" s="93"/>
      <c r="E2" s="5"/>
      <c r="F2" s="5"/>
    </row>
    <row r="3" spans="1:6" ht="30" customHeight="1" x14ac:dyDescent="0.25">
      <c r="A3" s="55" t="s">
        <v>49</v>
      </c>
      <c r="B3" s="56" t="s">
        <v>50</v>
      </c>
      <c r="C3" s="87"/>
      <c r="D3" s="88"/>
      <c r="E3" s="17"/>
      <c r="F3" s="17"/>
    </row>
    <row r="4" spans="1:6" ht="30" customHeight="1" x14ac:dyDescent="0.25">
      <c r="A4" s="55" t="s">
        <v>48</v>
      </c>
      <c r="B4" s="56" t="s">
        <v>74</v>
      </c>
      <c r="C4" s="87"/>
      <c r="D4" s="88"/>
      <c r="E4" s="17"/>
      <c r="F4" s="17"/>
    </row>
    <row r="5" spans="1:6" ht="30" customHeight="1" x14ac:dyDescent="0.25">
      <c r="A5" s="55" t="s">
        <v>51</v>
      </c>
      <c r="B5" s="56">
        <v>354</v>
      </c>
      <c r="C5" s="55" t="s">
        <v>52</v>
      </c>
      <c r="D5" s="57">
        <v>4</v>
      </c>
      <c r="E5" s="17"/>
      <c r="F5" s="17"/>
    </row>
    <row r="6" spans="1:6" ht="30" customHeight="1" x14ac:dyDescent="0.25">
      <c r="A6" s="55" t="s">
        <v>47</v>
      </c>
      <c r="B6" s="95" t="str">
        <f>土地產權!A2&amp;" "&amp;土地產權!A3&amp;" "&amp;土地產權!A4&amp;" "&amp;土地產權!A5&amp;" "&amp;土地產權!A6&amp;" "&amp;土地產權!A7&amp;" "&amp;土地產權!A8</f>
        <v xml:space="preserve">第一種住宅區      </v>
      </c>
      <c r="C6" s="95"/>
      <c r="D6" s="95"/>
      <c r="E6" s="19"/>
      <c r="F6" s="19"/>
    </row>
    <row r="7" spans="1:6" ht="30" customHeight="1" x14ac:dyDescent="0.25">
      <c r="A7" s="55" t="s">
        <v>17</v>
      </c>
      <c r="B7" s="75">
        <f>土地產權!B9</f>
        <v>1452</v>
      </c>
      <c r="C7" s="58" t="s">
        <v>66</v>
      </c>
      <c r="D7" s="59"/>
      <c r="E7" s="19"/>
      <c r="F7" s="19"/>
    </row>
    <row r="8" spans="1:6" ht="30" customHeight="1" x14ac:dyDescent="0.25">
      <c r="A8" s="55" t="s">
        <v>18</v>
      </c>
      <c r="B8" s="60">
        <f>土地產權!F9</f>
        <v>3</v>
      </c>
      <c r="C8" s="58" t="s">
        <v>66</v>
      </c>
      <c r="D8" s="59"/>
      <c r="E8" s="19"/>
      <c r="F8" s="19"/>
    </row>
    <row r="9" spans="1:6" ht="30" customHeight="1" x14ac:dyDescent="0.25">
      <c r="A9" s="55" t="s">
        <v>22</v>
      </c>
      <c r="B9" s="60">
        <f>土地產權!D9</f>
        <v>0.5</v>
      </c>
      <c r="C9" s="58" t="s">
        <v>66</v>
      </c>
      <c r="D9" s="59"/>
      <c r="E9" s="19"/>
      <c r="F9" s="19"/>
    </row>
    <row r="10" spans="1:6" ht="30" customHeight="1" x14ac:dyDescent="0.25">
      <c r="A10" s="55" t="s">
        <v>19</v>
      </c>
      <c r="B10" s="63">
        <v>0.5</v>
      </c>
      <c r="C10" s="87"/>
      <c r="D10" s="88"/>
      <c r="E10" s="19"/>
      <c r="F10" s="19"/>
    </row>
    <row r="11" spans="1:6" ht="30" customHeight="1" x14ac:dyDescent="0.25">
      <c r="A11" s="55" t="s">
        <v>36</v>
      </c>
      <c r="B11" s="63">
        <v>0</v>
      </c>
      <c r="C11" s="61" t="s">
        <v>45</v>
      </c>
      <c r="D11" s="62"/>
      <c r="E11" s="19"/>
      <c r="F11" s="19"/>
    </row>
    <row r="12" spans="1:6" ht="30" customHeight="1" x14ac:dyDescent="0.25">
      <c r="A12" s="55" t="s">
        <v>26</v>
      </c>
      <c r="B12" s="56">
        <v>3</v>
      </c>
      <c r="C12" s="91" t="s">
        <v>24</v>
      </c>
      <c r="D12" s="92"/>
      <c r="E12" s="19"/>
      <c r="F12" s="19"/>
    </row>
    <row r="13" spans="1:6" ht="30" customHeight="1" x14ac:dyDescent="0.25">
      <c r="A13" s="55" t="s">
        <v>27</v>
      </c>
      <c r="B13" s="63">
        <v>0.6</v>
      </c>
      <c r="C13" s="87"/>
      <c r="D13" s="88"/>
      <c r="E13" s="19"/>
      <c r="F13" s="19"/>
    </row>
    <row r="14" spans="1:6" ht="30" customHeight="1" x14ac:dyDescent="0.25">
      <c r="A14" s="55" t="s">
        <v>73</v>
      </c>
      <c r="B14" s="63">
        <v>0.2</v>
      </c>
      <c r="C14" s="55" t="s">
        <v>70</v>
      </c>
      <c r="D14" s="60">
        <f>坪效估算!B45</f>
        <v>0.32497647280255976</v>
      </c>
    </row>
    <row r="16" spans="1:6" ht="30" customHeight="1" x14ac:dyDescent="0.25">
      <c r="A16" s="85" t="s">
        <v>12</v>
      </c>
      <c r="B16" s="76">
        <f>坪效估算!B43</f>
        <v>10848.481874999999</v>
      </c>
      <c r="C16" s="90">
        <f>B16*0.3025</f>
        <v>3281.6657671874996</v>
      </c>
      <c r="D16" s="90"/>
      <c r="E16" s="73"/>
    </row>
    <row r="17" spans="1:5" ht="30" customHeight="1" x14ac:dyDescent="0.25">
      <c r="A17" s="85" t="s">
        <v>11</v>
      </c>
      <c r="B17" s="76">
        <f>坪效估算!B44</f>
        <v>3525.5013749999998</v>
      </c>
      <c r="C17" s="90">
        <f>B17*0.3025</f>
        <v>1066.4641659375</v>
      </c>
      <c r="D17" s="90"/>
      <c r="E17" s="73"/>
    </row>
    <row r="18" spans="1:5" ht="30" customHeight="1" x14ac:dyDescent="0.25">
      <c r="A18" s="85" t="s">
        <v>70</v>
      </c>
      <c r="B18" s="77">
        <f>坪效估算!B45</f>
        <v>0.32497647280255976</v>
      </c>
      <c r="C18" s="85" t="s">
        <v>72</v>
      </c>
      <c r="D18" s="86">
        <f>坪效估算!E45</f>
        <v>7.4714062499999994</v>
      </c>
      <c r="E18" s="74"/>
    </row>
    <row r="19" spans="1:5" ht="30" customHeight="1" x14ac:dyDescent="0.25">
      <c r="A19" s="85" t="s">
        <v>41</v>
      </c>
      <c r="B19" s="78">
        <f>坪效估算!B46</f>
        <v>51.08036666666667</v>
      </c>
      <c r="C19" s="89">
        <f>坪效估算!D46</f>
        <v>78.898049999999998</v>
      </c>
      <c r="D19" s="89"/>
      <c r="E19" s="73"/>
    </row>
  </sheetData>
  <sheetProtection algorithmName="SHA-512" hashValue="N01TI7oOk1/zR15CbLsTS7I0KM70cxVkF71PPQzQluES3IveWPg/VX5Tist+jD2tBivQpHFjEjmQ2w1C8quWRw==" saltValue="fowgQDHyv5VrkRkC8E1xRg==" spinCount="100000" sheet="1" selectLockedCells="1"/>
  <mergeCells count="11">
    <mergeCell ref="B2:D2"/>
    <mergeCell ref="A1:D1"/>
    <mergeCell ref="B6:D6"/>
    <mergeCell ref="C10:D10"/>
    <mergeCell ref="C3:D3"/>
    <mergeCell ref="C4:D4"/>
    <mergeCell ref="C19:D19"/>
    <mergeCell ref="C17:D17"/>
    <mergeCell ref="C16:D16"/>
    <mergeCell ref="C12:D12"/>
    <mergeCell ref="C13:D1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539E-67B4-489C-BBA5-66DC39EEBCC2}">
  <sheetPr>
    <pageSetUpPr fitToPage="1"/>
  </sheetPr>
  <dimension ref="A1:H12"/>
  <sheetViews>
    <sheetView zoomScaleNormal="100" workbookViewId="0">
      <selection activeCell="A2" sqref="A2"/>
    </sheetView>
  </sheetViews>
  <sheetFormatPr defaultColWidth="8.875" defaultRowHeight="18.75" x14ac:dyDescent="0.25"/>
  <cols>
    <col min="1" max="1" width="20.75" style="23" customWidth="1"/>
    <col min="2" max="6" width="16.75" style="22" customWidth="1"/>
    <col min="7" max="8" width="20.75" style="22" customWidth="1"/>
    <col min="9" max="16384" width="8.875" style="22"/>
  </cols>
  <sheetData>
    <row r="1" spans="1:8" ht="40.15" customHeight="1" x14ac:dyDescent="0.25">
      <c r="A1" s="43" t="s">
        <v>67</v>
      </c>
      <c r="B1" s="44" t="s">
        <v>62</v>
      </c>
      <c r="C1" s="44" t="s">
        <v>63</v>
      </c>
      <c r="D1" s="44" t="s">
        <v>53</v>
      </c>
      <c r="E1" s="45" t="s">
        <v>54</v>
      </c>
      <c r="F1" s="45" t="s">
        <v>55</v>
      </c>
      <c r="G1" s="45" t="s">
        <v>64</v>
      </c>
      <c r="H1" s="46" t="s">
        <v>61</v>
      </c>
    </row>
    <row r="2" spans="1:8" ht="25.15" customHeight="1" x14ac:dyDescent="0.25">
      <c r="A2" s="47" t="s">
        <v>71</v>
      </c>
      <c r="B2" s="29">
        <v>1452</v>
      </c>
      <c r="C2" s="26">
        <f>B2*0.3025</f>
        <v>439.22999999999996</v>
      </c>
      <c r="D2" s="31">
        <v>0.5</v>
      </c>
      <c r="E2" s="27">
        <f t="shared" ref="E2:E8" si="0">D2*C2</f>
        <v>219.61499999999998</v>
      </c>
      <c r="F2" s="31">
        <v>3</v>
      </c>
      <c r="G2" s="28">
        <f>B2*F2</f>
        <v>4356</v>
      </c>
      <c r="H2" s="48">
        <f>C2*F2</f>
        <v>1317.6899999999998</v>
      </c>
    </row>
    <row r="3" spans="1:8" ht="25.15" customHeight="1" x14ac:dyDescent="0.25">
      <c r="A3" s="47"/>
      <c r="B3" s="29"/>
      <c r="C3" s="26">
        <f>B3*0.3025</f>
        <v>0</v>
      </c>
      <c r="D3" s="31"/>
      <c r="E3" s="27">
        <f t="shared" si="0"/>
        <v>0</v>
      </c>
      <c r="F3" s="31"/>
      <c r="G3" s="28">
        <f t="shared" ref="G3:G8" si="1">B3*F3</f>
        <v>0</v>
      </c>
      <c r="H3" s="48">
        <f>C3*F3</f>
        <v>0</v>
      </c>
    </row>
    <row r="4" spans="1:8" ht="25.15" customHeight="1" x14ac:dyDescent="0.25">
      <c r="A4" s="47"/>
      <c r="B4" s="30"/>
      <c r="C4" s="26">
        <f>B4*0.3025</f>
        <v>0</v>
      </c>
      <c r="D4" s="31"/>
      <c r="E4" s="27">
        <f t="shared" si="0"/>
        <v>0</v>
      </c>
      <c r="F4" s="31"/>
      <c r="G4" s="28">
        <f t="shared" si="1"/>
        <v>0</v>
      </c>
      <c r="H4" s="48">
        <f>C4*F4</f>
        <v>0</v>
      </c>
    </row>
    <row r="5" spans="1:8" ht="25.15" customHeight="1" x14ac:dyDescent="0.25">
      <c r="A5" s="47"/>
      <c r="B5" s="30"/>
      <c r="C5" s="26">
        <f>B5*0.3025</f>
        <v>0</v>
      </c>
      <c r="D5" s="31"/>
      <c r="E5" s="27">
        <f t="shared" si="0"/>
        <v>0</v>
      </c>
      <c r="F5" s="31"/>
      <c r="G5" s="28">
        <f t="shared" si="1"/>
        <v>0</v>
      </c>
      <c r="H5" s="48">
        <f>C5*F5</f>
        <v>0</v>
      </c>
    </row>
    <row r="6" spans="1:8" ht="25.15" customHeight="1" x14ac:dyDescent="0.25">
      <c r="A6" s="47"/>
      <c r="B6" s="30"/>
      <c r="C6" s="26">
        <f t="shared" ref="C6:C8" si="2">B6*0.3025</f>
        <v>0</v>
      </c>
      <c r="D6" s="31"/>
      <c r="E6" s="27">
        <f t="shared" si="0"/>
        <v>0</v>
      </c>
      <c r="F6" s="31"/>
      <c r="G6" s="28">
        <f t="shared" si="1"/>
        <v>0</v>
      </c>
      <c r="H6" s="48">
        <f t="shared" ref="H6:H8" si="3">C6*F6</f>
        <v>0</v>
      </c>
    </row>
    <row r="7" spans="1:8" ht="25.15" customHeight="1" x14ac:dyDescent="0.25">
      <c r="A7" s="47"/>
      <c r="B7" s="30"/>
      <c r="C7" s="26">
        <f t="shared" si="2"/>
        <v>0</v>
      </c>
      <c r="D7" s="31"/>
      <c r="E7" s="27">
        <f t="shared" si="0"/>
        <v>0</v>
      </c>
      <c r="F7" s="31"/>
      <c r="G7" s="28">
        <f t="shared" si="1"/>
        <v>0</v>
      </c>
      <c r="H7" s="48">
        <f t="shared" si="3"/>
        <v>0</v>
      </c>
    </row>
    <row r="8" spans="1:8" ht="25.15" customHeight="1" x14ac:dyDescent="0.25">
      <c r="A8" s="47"/>
      <c r="B8" s="30"/>
      <c r="C8" s="26">
        <f t="shared" si="2"/>
        <v>0</v>
      </c>
      <c r="D8" s="31"/>
      <c r="E8" s="27">
        <f t="shared" si="0"/>
        <v>0</v>
      </c>
      <c r="F8" s="31"/>
      <c r="G8" s="28">
        <f t="shared" si="1"/>
        <v>0</v>
      </c>
      <c r="H8" s="48">
        <f t="shared" si="3"/>
        <v>0</v>
      </c>
    </row>
    <row r="9" spans="1:8" s="24" customFormat="1" ht="40.15" customHeight="1" thickBot="1" x14ac:dyDescent="0.3">
      <c r="A9" s="40" t="s">
        <v>56</v>
      </c>
      <c r="B9" s="41">
        <f>SUM(B2:B8)</f>
        <v>1452</v>
      </c>
      <c r="C9" s="49">
        <f>B9*0.3025</f>
        <v>439.22999999999996</v>
      </c>
      <c r="D9" s="50">
        <f>IF(B2="","",(C2*D2+C3*D3+C4*D4+C5*D5+C6*D6+C7*D7+C8*D8)/C9)</f>
        <v>0.5</v>
      </c>
      <c r="E9" s="51">
        <f>SUM(E2:E8)</f>
        <v>219.61499999999998</v>
      </c>
      <c r="F9" s="52">
        <f>(C2*F2+C3*F3+C4*F4+C5*F5+C6*F6+C7*F7+C8*F8)/C9</f>
        <v>3</v>
      </c>
      <c r="G9" s="53">
        <f>SUM(G2:G8)</f>
        <v>4356</v>
      </c>
      <c r="H9" s="54">
        <f>SUM(H2:H8)</f>
        <v>1317.6899999999998</v>
      </c>
    </row>
    <row r="10" spans="1:8" ht="25.15" customHeight="1" x14ac:dyDescent="0.25">
      <c r="A10" s="35" t="s">
        <v>57</v>
      </c>
      <c r="B10" s="36">
        <v>0</v>
      </c>
      <c r="C10" s="37">
        <f>B10*0.3025</f>
        <v>0</v>
      </c>
      <c r="D10" s="96" t="s">
        <v>59</v>
      </c>
      <c r="E10" s="97"/>
      <c r="F10" s="64">
        <f>基本數值!B10</f>
        <v>0.5</v>
      </c>
      <c r="G10" s="65">
        <f>G9*F10</f>
        <v>2178</v>
      </c>
      <c r="H10" s="66">
        <f>F10*H9</f>
        <v>658.84499999999991</v>
      </c>
    </row>
    <row r="11" spans="1:8" ht="25.15" customHeight="1" x14ac:dyDescent="0.25">
      <c r="A11" s="38" t="s">
        <v>58</v>
      </c>
      <c r="B11" s="25">
        <v>0</v>
      </c>
      <c r="C11" s="39">
        <f t="shared" ref="C11" si="4">B11*0.3025</f>
        <v>0</v>
      </c>
      <c r="D11" s="98" t="s">
        <v>65</v>
      </c>
      <c r="E11" s="99"/>
      <c r="F11" s="67">
        <f>基本數值!B11</f>
        <v>0</v>
      </c>
      <c r="G11" s="68">
        <f>G9*F11</f>
        <v>0</v>
      </c>
      <c r="H11" s="48">
        <f>H9*F11</f>
        <v>0</v>
      </c>
    </row>
    <row r="12" spans="1:8" s="24" customFormat="1" ht="40.15" customHeight="1" thickBot="1" x14ac:dyDescent="0.3">
      <c r="A12" s="40" t="s">
        <v>60</v>
      </c>
      <c r="B12" s="41">
        <f>SUM(B9:B11)</f>
        <v>1452</v>
      </c>
      <c r="C12" s="42">
        <f>B12*0.3025</f>
        <v>439.22999999999996</v>
      </c>
      <c r="D12" s="100" t="s">
        <v>60</v>
      </c>
      <c r="E12" s="101"/>
      <c r="F12" s="32">
        <f>SUM(F10:F11)</f>
        <v>0.5</v>
      </c>
      <c r="G12" s="33">
        <f>SUM(G9:G11)</f>
        <v>6534</v>
      </c>
      <c r="H12" s="34">
        <f>SUM(H9:H11)</f>
        <v>1976.5349999999999</v>
      </c>
    </row>
  </sheetData>
  <sheetProtection algorithmName="SHA-512" hashValue="gWenOOeOp8WoF8zXzGioclcPmcxah2mJfTY9kLaduWbNiHcOCbtbpqTOBEUToGzeYX3Cw68H7t5ZBCUYZCBTTQ==" saltValue="JgyK7g7IoZvMNbXlqiwXDQ==" spinCount="100000" sheet="1" objects="1" scenarios="1" selectLockedCells="1"/>
  <mergeCells count="3">
    <mergeCell ref="D10:E10"/>
    <mergeCell ref="D11:E11"/>
    <mergeCell ref="D12:E1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1200" verticalDpi="1200" r:id="rId1"/>
  <ignoredErrors>
    <ignoredError sqref="F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C75A-7234-4671-B25E-FA704B49154F}">
  <sheetPr>
    <pageSetUpPr fitToPage="1"/>
  </sheetPr>
  <dimension ref="A1:K53"/>
  <sheetViews>
    <sheetView topLeftCell="A2" zoomScale="130" zoomScaleNormal="130" workbookViewId="0">
      <selection activeCell="C12" sqref="C12"/>
    </sheetView>
  </sheetViews>
  <sheetFormatPr defaultColWidth="8.875" defaultRowHeight="18.75" x14ac:dyDescent="0.25"/>
  <cols>
    <col min="1" max="5" width="24.75" style="5" customWidth="1"/>
    <col min="6" max="7" width="8.875" style="5"/>
    <col min="8" max="8" width="11.125" style="6" bestFit="1" customWidth="1"/>
    <col min="9" max="10" width="9.75" style="6" bestFit="1" customWidth="1"/>
    <col min="11" max="11" width="8.875" style="6"/>
    <col min="12" max="16384" width="8.875" style="5"/>
  </cols>
  <sheetData>
    <row r="1" spans="1:5" ht="46.5" x14ac:dyDescent="0.25">
      <c r="A1" s="112" t="s">
        <v>31</v>
      </c>
      <c r="B1" s="112"/>
      <c r="C1" s="112"/>
      <c r="D1" s="112"/>
      <c r="E1" s="112"/>
    </row>
    <row r="2" spans="1:5" x14ac:dyDescent="0.25">
      <c r="A2" s="104" t="s">
        <v>33</v>
      </c>
      <c r="B2" s="104"/>
      <c r="C2" s="104"/>
      <c r="D2" s="104"/>
      <c r="E2" s="104"/>
    </row>
    <row r="3" spans="1:5" ht="40.15" customHeight="1" x14ac:dyDescent="0.25">
      <c r="A3" s="115" t="str">
        <f>基本數值!B2</f>
        <v>新北市土城區xxx354地號等4筆土地</v>
      </c>
      <c r="B3" s="115"/>
      <c r="C3" s="115"/>
      <c r="D3" s="115"/>
      <c r="E3" s="115"/>
    </row>
    <row r="4" spans="1:5" ht="25.15" customHeight="1" x14ac:dyDescent="0.25">
      <c r="A4" s="114" t="s">
        <v>39</v>
      </c>
      <c r="B4" s="114"/>
      <c r="C4" s="114"/>
      <c r="D4" s="7" t="s">
        <v>3</v>
      </c>
      <c r="E4" s="10">
        <f>B43/B12</f>
        <v>1.6603124999999999</v>
      </c>
    </row>
    <row r="5" spans="1:5" ht="25.15" customHeight="1" x14ac:dyDescent="0.25">
      <c r="A5" s="114"/>
      <c r="B5" s="114"/>
      <c r="C5" s="114"/>
      <c r="D5" s="105" t="s">
        <v>13</v>
      </c>
      <c r="E5" s="105"/>
    </row>
    <row r="6" spans="1:5" ht="25.15" customHeight="1" x14ac:dyDescent="0.25">
      <c r="A6" s="8" t="s">
        <v>17</v>
      </c>
      <c r="B6" s="2">
        <f>基本數值!B7</f>
        <v>1452</v>
      </c>
      <c r="C6" s="14" t="s">
        <v>0</v>
      </c>
      <c r="D6" s="2">
        <f>B6*0.3025</f>
        <v>439.22999999999996</v>
      </c>
      <c r="E6" s="9" t="s">
        <v>1</v>
      </c>
    </row>
    <row r="7" spans="1:5" ht="25.15" customHeight="1" x14ac:dyDescent="0.25">
      <c r="A7" s="8" t="s">
        <v>18</v>
      </c>
      <c r="B7" s="113">
        <f>基本數值!B8</f>
        <v>3</v>
      </c>
      <c r="C7" s="113"/>
      <c r="D7" s="8" t="s">
        <v>22</v>
      </c>
      <c r="E7" s="4">
        <f>基本數值!B9</f>
        <v>0.5</v>
      </c>
    </row>
    <row r="8" spans="1:5" ht="25.15" customHeight="1" x14ac:dyDescent="0.25">
      <c r="A8" s="8" t="s">
        <v>2</v>
      </c>
      <c r="B8" s="2">
        <f>B6*$B$7</f>
        <v>4356</v>
      </c>
      <c r="C8" s="9" t="s">
        <v>0</v>
      </c>
      <c r="D8" s="2">
        <f>D6*$B$7</f>
        <v>1317.6899999999998</v>
      </c>
      <c r="E8" s="9" t="s">
        <v>1</v>
      </c>
    </row>
    <row r="9" spans="1:5" ht="25.15" customHeight="1" x14ac:dyDescent="0.25">
      <c r="A9" s="8" t="s">
        <v>19</v>
      </c>
      <c r="B9" s="4">
        <v>0.5</v>
      </c>
      <c r="C9" s="1">
        <f>IF(B9=0,"",B8*(1+B9))</f>
        <v>6534</v>
      </c>
      <c r="D9" s="108"/>
      <c r="E9" s="109"/>
    </row>
    <row r="10" spans="1:5" ht="25.15" customHeight="1" x14ac:dyDescent="0.25">
      <c r="A10" s="8" t="s">
        <v>36</v>
      </c>
      <c r="B10" s="16">
        <f>基本數值!B11</f>
        <v>0</v>
      </c>
      <c r="C10" s="1" t="str">
        <f>IF(B10=0,"",B8*(1+B10))</f>
        <v/>
      </c>
      <c r="D10" s="108" t="str">
        <f>IF(B9+B10&gt;1,"注意總獎勵值以超過1倍","海砂、危老、容移以及TOD等")</f>
        <v>海砂、危老、容移以及TOD等</v>
      </c>
      <c r="E10" s="109"/>
    </row>
    <row r="11" spans="1:5" ht="25.15" customHeight="1" x14ac:dyDescent="0.25">
      <c r="A11" s="8" t="s">
        <v>23</v>
      </c>
      <c r="B11" s="2">
        <f>B6*$E$7</f>
        <v>726</v>
      </c>
      <c r="C11" s="9" t="s">
        <v>0</v>
      </c>
      <c r="D11" s="2">
        <f>D6*$E$7</f>
        <v>219.61499999999998</v>
      </c>
      <c r="E11" s="9" t="s">
        <v>1</v>
      </c>
    </row>
    <row r="12" spans="1:5" ht="25.15" customHeight="1" x14ac:dyDescent="0.25">
      <c r="A12" s="8" t="s">
        <v>20</v>
      </c>
      <c r="B12" s="2">
        <f>B8*(1+$B$9+B10)</f>
        <v>6534</v>
      </c>
      <c r="C12" s="9" t="s">
        <v>0</v>
      </c>
      <c r="D12" s="2">
        <f>D8*(1+$B$9)</f>
        <v>1976.5349999999999</v>
      </c>
      <c r="E12" s="9" t="s">
        <v>1</v>
      </c>
    </row>
    <row r="13" spans="1:5" ht="25.15" customHeight="1" x14ac:dyDescent="0.25">
      <c r="A13" s="106" t="s">
        <v>37</v>
      </c>
      <c r="B13" s="107"/>
      <c r="C13" s="107"/>
      <c r="D13" s="107"/>
      <c r="E13" s="107"/>
    </row>
    <row r="14" spans="1:5" ht="25.15" customHeight="1" x14ac:dyDescent="0.25">
      <c r="A14" s="8" t="s">
        <v>16</v>
      </c>
      <c r="B14" s="113">
        <v>0.15</v>
      </c>
      <c r="C14" s="113"/>
      <c r="D14" s="102"/>
      <c r="E14" s="103"/>
    </row>
    <row r="15" spans="1:5" ht="25.15" customHeight="1" x14ac:dyDescent="0.25">
      <c r="A15" s="8" t="s">
        <v>4</v>
      </c>
      <c r="B15" s="2">
        <f>B12*B14</f>
        <v>980.09999999999991</v>
      </c>
      <c r="C15" s="9" t="s">
        <v>0</v>
      </c>
      <c r="D15" s="10">
        <f>D12*15%</f>
        <v>296.48024999999996</v>
      </c>
      <c r="E15" s="9" t="s">
        <v>1</v>
      </c>
    </row>
    <row r="16" spans="1:5" ht="25.15" customHeight="1" x14ac:dyDescent="0.25">
      <c r="A16" s="105" t="s">
        <v>8</v>
      </c>
      <c r="B16" s="105"/>
      <c r="C16" s="105"/>
      <c r="D16" s="105"/>
      <c r="E16" s="105"/>
    </row>
    <row r="17" spans="1:10" ht="25.15" customHeight="1" x14ac:dyDescent="0.25">
      <c r="A17" s="8" t="s">
        <v>15</v>
      </c>
      <c r="B17" s="113">
        <v>0.05</v>
      </c>
      <c r="C17" s="113"/>
      <c r="D17" s="102"/>
      <c r="E17" s="103"/>
    </row>
    <row r="18" spans="1:10" ht="25.15" customHeight="1" x14ac:dyDescent="0.25">
      <c r="A18" s="8" t="s">
        <v>5</v>
      </c>
      <c r="B18" s="10">
        <f>(B12+B15)*B17</f>
        <v>375.70500000000004</v>
      </c>
      <c r="C18" s="9" t="s">
        <v>0</v>
      </c>
      <c r="D18" s="10">
        <f>(D12+D15)*5%</f>
        <v>113.6507625</v>
      </c>
      <c r="E18" s="9" t="s">
        <v>1</v>
      </c>
    </row>
    <row r="19" spans="1:10" ht="25.15" customHeight="1" x14ac:dyDescent="0.25">
      <c r="A19" s="105" t="s">
        <v>9</v>
      </c>
      <c r="B19" s="105"/>
      <c r="C19" s="105"/>
      <c r="D19" s="105"/>
      <c r="E19" s="105"/>
    </row>
    <row r="20" spans="1:10" ht="25.15" customHeight="1" x14ac:dyDescent="0.25">
      <c r="A20" s="8" t="s">
        <v>14</v>
      </c>
      <c r="B20" s="113">
        <v>0.1</v>
      </c>
      <c r="C20" s="113"/>
      <c r="D20" s="102"/>
      <c r="E20" s="103"/>
    </row>
    <row r="21" spans="1:10" ht="25.15" customHeight="1" x14ac:dyDescent="0.25">
      <c r="A21" s="8" t="s">
        <v>6</v>
      </c>
      <c r="B21" s="2">
        <f>(B12+B15+B18)*B20</f>
        <v>788.98050000000012</v>
      </c>
      <c r="C21" s="9" t="s">
        <v>0</v>
      </c>
      <c r="D21" s="10">
        <f>(D12+D15+D18)*10%</f>
        <v>238.66660124999999</v>
      </c>
      <c r="E21" s="9" t="s">
        <v>1</v>
      </c>
    </row>
    <row r="22" spans="1:10" ht="25.15" customHeight="1" x14ac:dyDescent="0.25">
      <c r="A22" s="105" t="s">
        <v>10</v>
      </c>
      <c r="B22" s="105"/>
      <c r="C22" s="105"/>
      <c r="D22" s="105"/>
      <c r="E22" s="105"/>
    </row>
    <row r="23" spans="1:10" ht="25.15" customHeight="1" x14ac:dyDescent="0.25">
      <c r="A23" s="106" t="s">
        <v>37</v>
      </c>
      <c r="B23" s="107"/>
      <c r="C23" s="107"/>
      <c r="D23" s="107"/>
      <c r="E23" s="107"/>
    </row>
    <row r="24" spans="1:10" ht="25.15" customHeight="1" x14ac:dyDescent="0.25">
      <c r="A24" s="8" t="s">
        <v>7</v>
      </c>
      <c r="B24" s="2">
        <f>B12+B21</f>
        <v>7322.9804999999997</v>
      </c>
      <c r="C24" s="9" t="s">
        <v>0</v>
      </c>
      <c r="D24" s="2">
        <f>D12+D21</f>
        <v>2215.2016012499998</v>
      </c>
      <c r="E24" s="9" t="s">
        <v>1</v>
      </c>
      <c r="H24" s="11">
        <f>B6</f>
        <v>1452</v>
      </c>
      <c r="I24" s="3">
        <v>0.2</v>
      </c>
      <c r="J24" s="3">
        <v>0.1</v>
      </c>
    </row>
    <row r="25" spans="1:10" ht="25.15" customHeight="1" x14ac:dyDescent="0.25">
      <c r="A25" s="105" t="s">
        <v>38</v>
      </c>
      <c r="B25" s="105"/>
      <c r="C25" s="105"/>
      <c r="D25" s="105"/>
      <c r="E25" s="105"/>
      <c r="H25" s="6">
        <f>IF(B6&gt;500,B6*(E7+J24),B6*(E7+I24))</f>
        <v>871.19999999999993</v>
      </c>
    </row>
    <row r="26" spans="1:10" ht="25.15" customHeight="1" x14ac:dyDescent="0.25">
      <c r="A26" s="8" t="s">
        <v>68</v>
      </c>
      <c r="B26" s="2">
        <f>B12+B18+B21+B15</f>
        <v>8678.7855</v>
      </c>
      <c r="C26" s="9" t="s">
        <v>0</v>
      </c>
      <c r="D26" s="2">
        <f>B26*0.3025</f>
        <v>2625.3326137499998</v>
      </c>
      <c r="E26" s="9" t="s">
        <v>1</v>
      </c>
    </row>
    <row r="27" spans="1:10" ht="25.15" customHeight="1" x14ac:dyDescent="0.25">
      <c r="A27" s="69"/>
      <c r="B27" s="70"/>
      <c r="C27" s="71"/>
      <c r="D27" s="70"/>
      <c r="E27" s="71"/>
    </row>
    <row r="28" spans="1:10" ht="25.15" customHeight="1" x14ac:dyDescent="0.25">
      <c r="A28" s="8" t="s">
        <v>34</v>
      </c>
      <c r="B28" s="10">
        <v>3</v>
      </c>
      <c r="C28" s="9" t="s">
        <v>24</v>
      </c>
      <c r="D28" s="102"/>
      <c r="E28" s="103"/>
    </row>
    <row r="29" spans="1:10" ht="25.15" customHeight="1" x14ac:dyDescent="0.25">
      <c r="A29" s="8" t="s">
        <v>25</v>
      </c>
      <c r="B29" s="10">
        <f>B11/8*$B$28</f>
        <v>272.25</v>
      </c>
      <c r="C29" s="9" t="s">
        <v>0</v>
      </c>
      <c r="D29" s="10">
        <f>D11/8*$B$28</f>
        <v>82.355624999999989</v>
      </c>
      <c r="E29" s="9" t="s">
        <v>1</v>
      </c>
    </row>
    <row r="30" spans="1:10" ht="25.15" customHeight="1" x14ac:dyDescent="0.25">
      <c r="A30" s="105" t="s">
        <v>35</v>
      </c>
      <c r="B30" s="105"/>
      <c r="C30" s="105"/>
      <c r="D30" s="105"/>
      <c r="E30" s="105"/>
    </row>
    <row r="31" spans="1:10" ht="25.15" customHeight="1" x14ac:dyDescent="0.25">
      <c r="A31" s="106" t="s">
        <v>37</v>
      </c>
      <c r="B31" s="107"/>
      <c r="C31" s="107"/>
      <c r="D31" s="107"/>
      <c r="E31" s="107"/>
    </row>
    <row r="32" spans="1:10" ht="25.15" customHeight="1" x14ac:dyDescent="0.25">
      <c r="A32" s="8" t="s">
        <v>26</v>
      </c>
      <c r="B32" s="83">
        <f>基本數值!B12</f>
        <v>3</v>
      </c>
      <c r="C32" s="14" t="s">
        <v>24</v>
      </c>
      <c r="D32" s="8" t="s">
        <v>27</v>
      </c>
      <c r="E32" s="15">
        <f>基本數值!B13</f>
        <v>0.6</v>
      </c>
    </row>
    <row r="33" spans="1:5" ht="25.15" customHeight="1" x14ac:dyDescent="0.25">
      <c r="A33" s="111" t="s">
        <v>43</v>
      </c>
      <c r="B33" s="111"/>
      <c r="C33" s="111"/>
      <c r="D33" s="111"/>
      <c r="E33" s="111"/>
    </row>
    <row r="34" spans="1:5" ht="25.15" customHeight="1" x14ac:dyDescent="0.25">
      <c r="A34" s="8" t="s">
        <v>28</v>
      </c>
      <c r="B34" s="2">
        <f>B6*$E$32*$B$32</f>
        <v>2613.6</v>
      </c>
      <c r="C34" s="9" t="s">
        <v>0</v>
      </c>
      <c r="D34" s="2">
        <f>D6*$E$32*$B$32</f>
        <v>790.61399999999981</v>
      </c>
      <c r="E34" s="9" t="s">
        <v>1</v>
      </c>
    </row>
    <row r="35" spans="1:5" ht="25.15" customHeight="1" x14ac:dyDescent="0.25">
      <c r="A35" s="105" t="s">
        <v>32</v>
      </c>
      <c r="B35" s="105"/>
      <c r="C35" s="105"/>
      <c r="D35" s="105"/>
      <c r="E35" s="105"/>
    </row>
    <row r="36" spans="1:5" ht="25.15" customHeight="1" x14ac:dyDescent="0.25">
      <c r="A36" s="106" t="s">
        <v>37</v>
      </c>
      <c r="B36" s="107"/>
      <c r="C36" s="107"/>
      <c r="D36" s="107"/>
      <c r="E36" s="107"/>
    </row>
    <row r="37" spans="1:5" ht="25.15" customHeight="1" x14ac:dyDescent="0.25">
      <c r="A37" s="8" t="s">
        <v>21</v>
      </c>
      <c r="B37" s="2">
        <f>B15+B18</f>
        <v>1355.8049999999998</v>
      </c>
      <c r="C37" s="12" t="s">
        <v>0</v>
      </c>
      <c r="D37" s="2">
        <f>B37*0.3025</f>
        <v>410.13101249999994</v>
      </c>
      <c r="E37" s="12" t="s">
        <v>1</v>
      </c>
    </row>
    <row r="38" spans="1:5" ht="25.15" customHeight="1" x14ac:dyDescent="0.25">
      <c r="A38" s="8" t="s">
        <v>29</v>
      </c>
      <c r="B38" s="2">
        <f>(基本數值!B14/(1-基本數值!B14)*B26)</f>
        <v>2169.696375</v>
      </c>
      <c r="C38" s="12" t="s">
        <v>0</v>
      </c>
      <c r="D38" s="2">
        <f t="shared" ref="D38:D41" si="0">B38*0.3025</f>
        <v>656.33315343749996</v>
      </c>
      <c r="E38" s="12" t="s">
        <v>1</v>
      </c>
    </row>
    <row r="39" spans="1:5" ht="25.15" customHeight="1" x14ac:dyDescent="0.25">
      <c r="A39" s="8" t="s">
        <v>69</v>
      </c>
      <c r="B39" s="2">
        <f>B38-B29</f>
        <v>1897.446375</v>
      </c>
      <c r="C39" s="12" t="s">
        <v>0</v>
      </c>
      <c r="D39" s="2">
        <f t="shared" si="0"/>
        <v>573.97752843749993</v>
      </c>
      <c r="E39" s="12" t="s">
        <v>1</v>
      </c>
    </row>
    <row r="40" spans="1:5" ht="25.15" customHeight="1" x14ac:dyDescent="0.25">
      <c r="A40" s="8" t="s">
        <v>30</v>
      </c>
      <c r="B40" s="2">
        <f>B34-B39</f>
        <v>716.15362499999992</v>
      </c>
      <c r="C40" s="12" t="s">
        <v>0</v>
      </c>
      <c r="D40" s="2">
        <f t="shared" si="0"/>
        <v>216.63647156249996</v>
      </c>
      <c r="E40" s="12" t="s">
        <v>1</v>
      </c>
    </row>
    <row r="41" spans="1:5" ht="25.15" customHeight="1" x14ac:dyDescent="0.25">
      <c r="A41" s="8" t="s">
        <v>42</v>
      </c>
      <c r="B41" s="2">
        <f>B40/B46</f>
        <v>14.02013477454808</v>
      </c>
      <c r="C41" s="12" t="s">
        <v>0</v>
      </c>
      <c r="D41" s="2">
        <f t="shared" si="0"/>
        <v>4.2410907693007935</v>
      </c>
      <c r="E41" s="12" t="s">
        <v>1</v>
      </c>
    </row>
    <row r="42" spans="1:5" ht="25.15" customHeight="1" x14ac:dyDescent="0.25">
      <c r="A42" s="106" t="s">
        <v>37</v>
      </c>
      <c r="B42" s="107"/>
      <c r="C42" s="107"/>
      <c r="D42" s="107"/>
      <c r="E42" s="107"/>
    </row>
    <row r="43" spans="1:5" ht="25.15" customHeight="1" x14ac:dyDescent="0.25">
      <c r="A43" s="79" t="s">
        <v>12</v>
      </c>
      <c r="B43" s="80">
        <f>B24+B37+B38</f>
        <v>10848.481874999999</v>
      </c>
      <c r="C43" s="81" t="s">
        <v>0</v>
      </c>
      <c r="D43" s="80">
        <f>B43*0.3025</f>
        <v>3281.6657671874996</v>
      </c>
      <c r="E43" s="81" t="s">
        <v>1</v>
      </c>
    </row>
    <row r="44" spans="1:5" ht="25.15" customHeight="1" x14ac:dyDescent="0.25">
      <c r="A44" s="79" t="s">
        <v>11</v>
      </c>
      <c r="B44" s="80">
        <f>B37+B38</f>
        <v>3525.5013749999998</v>
      </c>
      <c r="C44" s="81" t="s">
        <v>0</v>
      </c>
      <c r="D44" s="80">
        <f>B44*0.3025</f>
        <v>1066.4641659375</v>
      </c>
      <c r="E44" s="81" t="s">
        <v>1</v>
      </c>
    </row>
    <row r="45" spans="1:5" ht="25.15" customHeight="1" x14ac:dyDescent="0.25">
      <c r="A45" s="79" t="s">
        <v>70</v>
      </c>
      <c r="B45" s="110">
        <f>B44/B43</f>
        <v>0.32497647280255976</v>
      </c>
      <c r="C45" s="110"/>
      <c r="D45" s="79" t="s">
        <v>72</v>
      </c>
      <c r="E45" s="84">
        <f>B43/A.土地面積_L</f>
        <v>7.4714062499999994</v>
      </c>
    </row>
    <row r="46" spans="1:5" ht="25.15" customHeight="1" x14ac:dyDescent="0.25">
      <c r="A46" s="79" t="s">
        <v>41</v>
      </c>
      <c r="B46" s="82">
        <f>(B12-500+B15+B18+B29)/150</f>
        <v>51.08036666666667</v>
      </c>
      <c r="C46" s="81" t="s">
        <v>40</v>
      </c>
      <c r="D46" s="80">
        <f>(B12+B18+B15)/100</f>
        <v>78.898049999999998</v>
      </c>
      <c r="E46" s="81" t="s">
        <v>40</v>
      </c>
    </row>
    <row r="47" spans="1:5" ht="25.15" customHeight="1" x14ac:dyDescent="0.25">
      <c r="A47" s="106" t="s">
        <v>37</v>
      </c>
      <c r="B47" s="107"/>
      <c r="C47" s="107"/>
      <c r="D47" s="107"/>
      <c r="E47" s="107"/>
    </row>
    <row r="48" spans="1:5" x14ac:dyDescent="0.25">
      <c r="A48" s="104" t="str">
        <f>IF(D41&lt;5,"請注意規劃，地下層數或是規劃公設比數值","正常規劃")</f>
        <v>請注意規劃，地下層數或是規劃公設比數值</v>
      </c>
      <c r="B48" s="104"/>
      <c r="C48" s="104"/>
      <c r="D48" s="104"/>
      <c r="E48" s="104"/>
    </row>
    <row r="50" spans="2:4" x14ac:dyDescent="0.25">
      <c r="B50" s="13"/>
      <c r="C50" s="72"/>
    </row>
    <row r="51" spans="2:4" x14ac:dyDescent="0.25">
      <c r="C51" s="13"/>
    </row>
    <row r="52" spans="2:4" x14ac:dyDescent="0.25">
      <c r="B52" s="13"/>
      <c r="C52" s="13"/>
      <c r="D52" s="13"/>
    </row>
    <row r="53" spans="2:4" x14ac:dyDescent="0.25">
      <c r="C53" s="13"/>
    </row>
  </sheetData>
  <sheetProtection algorithmName="SHA-512" hashValue="OzLF+UgcJNRF/5XQUS27MobLrX7q9f4bgp4tw1Abz0a3hFNE4LMsNB7JAN3aK+A2Cu+M5XN6LWWWMNiGIIHcZA==" saltValue="GRPZpNvVrMBvvwUBgSE3xw==" spinCount="100000" sheet="1" selectLockedCells="1"/>
  <mergeCells count="30">
    <mergeCell ref="A33:E33"/>
    <mergeCell ref="A1:E1"/>
    <mergeCell ref="B20:C20"/>
    <mergeCell ref="A4:C5"/>
    <mergeCell ref="A3:E3"/>
    <mergeCell ref="A2:E2"/>
    <mergeCell ref="D5:E5"/>
    <mergeCell ref="B7:C7"/>
    <mergeCell ref="B14:C14"/>
    <mergeCell ref="B17:C17"/>
    <mergeCell ref="A16:E16"/>
    <mergeCell ref="D9:E9"/>
    <mergeCell ref="A13:E13"/>
    <mergeCell ref="D14:E14"/>
    <mergeCell ref="D17:E17"/>
    <mergeCell ref="A48:E48"/>
    <mergeCell ref="A19:E19"/>
    <mergeCell ref="A47:E47"/>
    <mergeCell ref="D10:E10"/>
    <mergeCell ref="A36:E36"/>
    <mergeCell ref="A42:E42"/>
    <mergeCell ref="A30:E30"/>
    <mergeCell ref="D20:E20"/>
    <mergeCell ref="A23:E23"/>
    <mergeCell ref="A31:E31"/>
    <mergeCell ref="A35:E35"/>
    <mergeCell ref="A22:E22"/>
    <mergeCell ref="A25:E25"/>
    <mergeCell ref="D28:E28"/>
    <mergeCell ref="B45:C45"/>
  </mergeCells>
  <phoneticPr fontId="2" type="noConversion"/>
  <hyperlinks>
    <hyperlink ref="A47" r:id="rId1" display="www.ur-promoter.com" xr:uid="{9A987513-0F3D-4752-BFEF-CF4BA80385D6}"/>
    <hyperlink ref="A36" r:id="rId2" display="www.ur-promoter.com" xr:uid="{85298689-A013-4DAA-B56E-9A52BFA929E8}"/>
    <hyperlink ref="A31" r:id="rId3" display="www.ur-promoter.com" xr:uid="{48BC9BCF-2FD3-4F6B-BBA7-D9947B63B28C}"/>
    <hyperlink ref="A23" r:id="rId4" display="www.ur-promoter.com" xr:uid="{F51836FE-C9D3-448B-97AC-DC94D4563574}"/>
    <hyperlink ref="A13" r:id="rId5" display="www.ur-promoter.com" xr:uid="{849290CB-437B-4490-97C6-61068068B809}"/>
    <hyperlink ref="A42" r:id="rId6" display="www.ur-promoter.com" xr:uid="{76685FC7-EB35-4798-9124-984D09C5005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13</vt:i4>
      </vt:variant>
    </vt:vector>
  </HeadingPairs>
  <TitlesOfParts>
    <vt:vector size="16" baseType="lpstr">
      <vt:lpstr>基本數值</vt:lpstr>
      <vt:lpstr>土地產權</vt:lpstr>
      <vt:lpstr>坪效估算</vt:lpstr>
      <vt:lpstr>A.土地面積_L</vt:lpstr>
      <vt:lpstr>A_案名</vt:lpstr>
      <vt:lpstr>AN_N01</vt:lpstr>
      <vt:lpstr>AN_N02</vt:lpstr>
      <vt:lpstr>AN_N03</vt:lpstr>
      <vt:lpstr>AN_N04</vt:lpstr>
      <vt:lpstr>AN_N05</vt:lpstr>
      <vt:lpstr>AN_N06</vt:lpstr>
      <vt:lpstr>AN_N07</vt:lpstr>
      <vt:lpstr>B_土地面積</vt:lpstr>
      <vt:lpstr>土地產權!Print_Area</vt:lpstr>
      <vt:lpstr>坪效估算!Print_Area</vt:lpstr>
      <vt:lpstr>基本數值!Print_Area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都更資訊平台</dc:creator>
  <cp:lastModifiedBy>建福 Chien-Fu Tseng 不動產經紀人 曾</cp:lastModifiedBy>
  <cp:lastPrinted>2024-05-05T14:41:02Z</cp:lastPrinted>
  <dcterms:created xsi:type="dcterms:W3CDTF">2024-04-25T02:34:02Z</dcterms:created>
  <dcterms:modified xsi:type="dcterms:W3CDTF">2024-05-05T14:41:40Z</dcterms:modified>
</cp:coreProperties>
</file>